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0" yWindow="0" windowWidth="25600" windowHeight="16060" tabRatio="643"/>
  </bookViews>
  <sheets>
    <sheet name="NRA Kalkulationen" sheetId="3" r:id="rId1"/>
    <sheet name="Teilkostenrechnung" sheetId="7" r:id="rId2"/>
    <sheet name="Make or buy" sheetId="8" r:id="rId3"/>
    <sheet name="Blatt3" sheetId="9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8" l="1"/>
  <c r="F9" i="8"/>
  <c r="D8" i="8"/>
  <c r="D6" i="8"/>
  <c r="F10" i="8"/>
  <c r="D19" i="8"/>
  <c r="D16" i="8"/>
  <c r="E19" i="8"/>
  <c r="E12" i="8"/>
  <c r="F19" i="8"/>
  <c r="F20" i="8"/>
  <c r="F14" i="8"/>
  <c r="F6" i="8"/>
  <c r="F12" i="8"/>
  <c r="D12" i="8"/>
  <c r="F31" i="8"/>
  <c r="E34" i="8"/>
  <c r="F34" i="8"/>
  <c r="F33" i="8"/>
  <c r="F36" i="8"/>
  <c r="F38" i="8"/>
  <c r="D38" i="8"/>
  <c r="E40" i="8"/>
  <c r="D45" i="8"/>
  <c r="D42" i="8"/>
  <c r="E45" i="8"/>
  <c r="F45" i="8"/>
  <c r="F46" i="8"/>
  <c r="F40" i="8"/>
  <c r="D85" i="7"/>
  <c r="D84" i="7"/>
  <c r="D87" i="7"/>
  <c r="B87" i="7"/>
  <c r="B84" i="7"/>
  <c r="B91" i="7"/>
  <c r="B92" i="7"/>
  <c r="B94" i="7"/>
  <c r="B95" i="7"/>
  <c r="B58" i="7"/>
  <c r="B57" i="7"/>
  <c r="B55" i="7"/>
  <c r="B54" i="7"/>
  <c r="B50" i="7"/>
  <c r="B47" i="7"/>
  <c r="B77" i="7"/>
  <c r="B75" i="7"/>
  <c r="B70" i="7"/>
  <c r="B66" i="7"/>
  <c r="B34" i="7"/>
  <c r="B36" i="7"/>
  <c r="B38" i="7"/>
  <c r="B39" i="7"/>
  <c r="B42" i="7"/>
  <c r="B14" i="7"/>
  <c r="B35" i="7"/>
  <c r="B33" i="7"/>
  <c r="B29" i="7"/>
  <c r="B20" i="7"/>
  <c r="D4" i="7"/>
  <c r="D5" i="7"/>
  <c r="D6" i="7"/>
  <c r="D7" i="7"/>
  <c r="D9" i="7"/>
  <c r="B12" i="7"/>
  <c r="B21" i="7"/>
  <c r="B22" i="7"/>
  <c r="D22" i="7"/>
  <c r="B19" i="7"/>
  <c r="C6" i="7"/>
  <c r="C8" i="7"/>
  <c r="C9" i="7"/>
  <c r="B9" i="7"/>
  <c r="H43" i="3"/>
  <c r="G42" i="3"/>
  <c r="H42" i="3"/>
  <c r="H41" i="3"/>
  <c r="G40" i="3"/>
  <c r="H39" i="3"/>
  <c r="H40" i="3"/>
  <c r="H50" i="3"/>
  <c r="G49" i="3"/>
  <c r="H49" i="3"/>
  <c r="H48" i="3"/>
  <c r="G47" i="3"/>
  <c r="H46" i="3"/>
  <c r="H47" i="3"/>
  <c r="H57" i="3"/>
  <c r="G56" i="3"/>
  <c r="G54" i="3"/>
  <c r="H56" i="3"/>
  <c r="H55" i="3"/>
  <c r="H53" i="3"/>
  <c r="H54" i="3"/>
  <c r="D60" i="3"/>
  <c r="D61" i="3"/>
  <c r="D63" i="3"/>
  <c r="D62" i="3"/>
  <c r="D56" i="3"/>
  <c r="D55" i="3"/>
  <c r="D54" i="3"/>
  <c r="C54" i="3"/>
  <c r="D46" i="3"/>
  <c r="D49" i="3"/>
  <c r="D48" i="3"/>
  <c r="D47" i="3"/>
  <c r="C47" i="3"/>
  <c r="C40" i="3"/>
  <c r="D40" i="3"/>
  <c r="D42" i="3"/>
  <c r="D41" i="3"/>
  <c r="D32" i="3"/>
  <c r="D33" i="3"/>
  <c r="D34" i="3"/>
  <c r="D35" i="3"/>
  <c r="D25" i="3"/>
  <c r="D26" i="3"/>
  <c r="D27" i="3"/>
  <c r="D28" i="3"/>
  <c r="D21" i="3"/>
  <c r="D20" i="3"/>
  <c r="D19" i="3"/>
  <c r="D18" i="3"/>
  <c r="D14" i="3"/>
  <c r="D13" i="3"/>
  <c r="D12" i="3"/>
  <c r="D11" i="3"/>
  <c r="D8" i="3"/>
  <c r="D10" i="3"/>
</calcChain>
</file>

<file path=xl/sharedStrings.xml><?xml version="1.0" encoding="utf-8"?>
<sst xmlns="http://schemas.openxmlformats.org/spreadsheetml/2006/main" count="228" uniqueCount="129">
  <si>
    <t>Absatzkalkulationen durchführen</t>
  </si>
  <si>
    <t>Gesamtkosten</t>
  </si>
  <si>
    <t>Stunden</t>
  </si>
  <si>
    <t>Selbstkosten/h</t>
  </si>
  <si>
    <t>Selbstkosten</t>
  </si>
  <si>
    <t>Gewinn</t>
  </si>
  <si>
    <t>Netto VKP</t>
  </si>
  <si>
    <t>UST</t>
  </si>
  <si>
    <t>Brutto VKP</t>
  </si>
  <si>
    <t>a)</t>
  </si>
  <si>
    <t>b)</t>
  </si>
  <si>
    <t>Eisbecher</t>
  </si>
  <si>
    <t>WES</t>
  </si>
  <si>
    <t>+ NRA</t>
  </si>
  <si>
    <t>c)</t>
  </si>
  <si>
    <t>Brettspiel</t>
  </si>
  <si>
    <t>d)</t>
  </si>
  <si>
    <t>Couch</t>
  </si>
  <si>
    <t>NRA und WES</t>
  </si>
  <si>
    <t>Jeans</t>
  </si>
  <si>
    <t>Couchtisch</t>
  </si>
  <si>
    <t>Gebrauchtwagen</t>
  </si>
  <si>
    <t>Birnensaft</t>
  </si>
  <si>
    <t>=115,83/218*100</t>
  </si>
  <si>
    <t>=137,5/172*100</t>
  </si>
  <si>
    <t>=17.375/124*100</t>
  </si>
  <si>
    <t>=2,17/440*100</t>
  </si>
  <si>
    <t>Handlungsmöglichkeiten den NRA zu beeinflussen:</t>
  </si>
  <si>
    <t>Einstandspreise neu verhandeln.</t>
  </si>
  <si>
    <t>Preise erhöhen.</t>
  </si>
  <si>
    <t>in Gastronomie ... Kleinere Portionen,</t>
  </si>
  <si>
    <t>Geringerer Gewinnaufschlag (wenn bei Einstandspreisen und Verkaufspreisen kein Spielraum besteht)</t>
  </si>
  <si>
    <t>Gemeinkosten einsparen (vlg. Oben)</t>
  </si>
  <si>
    <t>Kosten</t>
  </si>
  <si>
    <t>Kostenart</t>
  </si>
  <si>
    <t>Personalkosten</t>
  </si>
  <si>
    <t>Personal</t>
  </si>
  <si>
    <t>Brutto</t>
  </si>
  <si>
    <t>Netto</t>
  </si>
  <si>
    <t>DB</t>
  </si>
  <si>
    <t>a</t>
  </si>
  <si>
    <t>b</t>
  </si>
  <si>
    <t>c</t>
  </si>
  <si>
    <t>Ust</t>
  </si>
  <si>
    <t>d</t>
  </si>
  <si>
    <t>e</t>
  </si>
  <si>
    <t>f</t>
  </si>
  <si>
    <t>fix</t>
  </si>
  <si>
    <t>variabel</t>
  </si>
  <si>
    <t>Rohstoffeinsatz</t>
  </si>
  <si>
    <t>Verpackungsmat.</t>
  </si>
  <si>
    <t>Versandkosten</t>
  </si>
  <si>
    <t>sonstige Kosten</t>
  </si>
  <si>
    <t>Kv</t>
  </si>
  <si>
    <t>verkaufte Gläser</t>
  </si>
  <si>
    <t>Kv pro Glas</t>
  </si>
  <si>
    <t>DB bei 300 Gläsern</t>
  </si>
  <si>
    <t>-KV</t>
  </si>
  <si>
    <t>DB pro Glas u gesamt</t>
  </si>
  <si>
    <t>siehe Beilage</t>
  </si>
  <si>
    <t>Break Even Point</t>
  </si>
  <si>
    <t>Kf</t>
  </si>
  <si>
    <t xml:space="preserve">DB   </t>
  </si>
  <si>
    <t>aufrunden</t>
  </si>
  <si>
    <t>Mindestumsatz</t>
  </si>
  <si>
    <t>BEP Stück</t>
  </si>
  <si>
    <t>Nettoerlöse</t>
  </si>
  <si>
    <t>Stück</t>
  </si>
  <si>
    <t>Gesamt DB</t>
  </si>
  <si>
    <t>b) Siehe Beilage</t>
  </si>
  <si>
    <t>zus. Kosten</t>
  </si>
  <si>
    <t>DB neu</t>
  </si>
  <si>
    <t>d) Siehe Beilage</t>
  </si>
  <si>
    <t>g grafische Lösung</t>
  </si>
  <si>
    <t>h</t>
  </si>
  <si>
    <t>ND</t>
  </si>
  <si>
    <t>AfA</t>
  </si>
  <si>
    <t>Verkauf</t>
  </si>
  <si>
    <t>KV</t>
  </si>
  <si>
    <t>DB pro Markt</t>
  </si>
  <si>
    <t>Aushilfen</t>
  </si>
  <si>
    <t>Gebürh</t>
  </si>
  <si>
    <t>DB II pro Teilnahme</t>
  </si>
  <si>
    <t>BEP Teilnahmen</t>
  </si>
  <si>
    <t>Anschaffungswert</t>
  </si>
  <si>
    <t>AfA p.a.</t>
  </si>
  <si>
    <t>e)</t>
  </si>
  <si>
    <t>DB pro Event</t>
  </si>
  <si>
    <t>DB pro Riegel</t>
  </si>
  <si>
    <t>Personla u Strom</t>
  </si>
  <si>
    <t>3.1. Pesto</t>
  </si>
  <si>
    <t>3.2 Müsliriegel</t>
  </si>
  <si>
    <t>1M</t>
  </si>
  <si>
    <t xml:space="preserve">  </t>
  </si>
  <si>
    <t>Make</t>
  </si>
  <si>
    <t>Buy</t>
  </si>
  <si>
    <t>pro Liter</t>
  </si>
  <si>
    <t>Differenz KV</t>
  </si>
  <si>
    <t>BEP MoB</t>
  </si>
  <si>
    <t xml:space="preserve">spnstige </t>
  </si>
  <si>
    <t>Menge</t>
  </si>
  <si>
    <t>Diff Kv</t>
  </si>
  <si>
    <t xml:space="preserve">c) </t>
  </si>
  <si>
    <t>Argumente für Eigenfertigung</t>
  </si>
  <si>
    <t>Argumente für Fremdfertigung</t>
  </si>
  <si>
    <t>Risiko</t>
  </si>
  <si>
    <t>Qualitätssicherung</t>
  </si>
  <si>
    <t>Ertragspotential</t>
  </si>
  <si>
    <t>Image</t>
  </si>
  <si>
    <t>lokale Produktion</t>
  </si>
  <si>
    <t>...</t>
  </si>
  <si>
    <t>Kosten pro Liter u Gesamtkosten</t>
  </si>
  <si>
    <t>Kosten pro Stück u Gesamtkosten</t>
  </si>
  <si>
    <t>kritische Menge</t>
  </si>
  <si>
    <t>für</t>
  </si>
  <si>
    <t>Ges. menge</t>
  </si>
  <si>
    <t>Kv pro Stück</t>
  </si>
  <si>
    <t>Handy</t>
  </si>
  <si>
    <t>Kritische Menge (BeP MoB)</t>
  </si>
  <si>
    <t>c nein, nicht bei 10%, und e)</t>
  </si>
  <si>
    <t>WES für 1000</t>
  </si>
  <si>
    <t>Make or Buy Entscheidungen</t>
  </si>
  <si>
    <t>Sonnentor Fruchtsirup</t>
  </si>
  <si>
    <t>4.1.</t>
  </si>
  <si>
    <t>4.2.</t>
  </si>
  <si>
    <t>Kf (Afa)</t>
  </si>
  <si>
    <t>Kf sonst</t>
  </si>
  <si>
    <t>Kf gesamt</t>
  </si>
  <si>
    <t>Euro = Stück* Nettopreis (5,00)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</si>
</sst>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9" fontId="0" fillId="0" borderId="0" xfId="0" applyNumberFormat="1"/>
    <xf numFmtId="0" fontId="6" fillId="0" borderId="0" xfId="0" applyFont="1"/>
    <xf numFmtId="43" fontId="0" fillId="0" borderId="0" xfId="0" applyNumberFormat="1"/>
    <xf numFmtId="0" fontId="0" fillId="0" borderId="0" xfId="0" quotePrefix="1"/>
    <xf numFmtId="0" fontId="0" fillId="2" borderId="0" xfId="0" quotePrefix="1" applyFill="1"/>
    <xf numFmtId="9" fontId="0" fillId="2" borderId="0" xfId="0" applyNumberFormat="1" applyFill="1"/>
    <xf numFmtId="0" fontId="0" fillId="2" borderId="0" xfId="0" applyFill="1"/>
    <xf numFmtId="44" fontId="0" fillId="0" borderId="0" xfId="64" applyFont="1"/>
    <xf numFmtId="44" fontId="0" fillId="2" borderId="0" xfId="64" applyFont="1" applyFill="1"/>
    <xf numFmtId="0" fontId="0" fillId="0" borderId="0" xfId="0" quotePrefix="1" applyFill="1"/>
    <xf numFmtId="9" fontId="0" fillId="0" borderId="0" xfId="0" applyNumberFormat="1" applyFill="1"/>
    <xf numFmtId="44" fontId="0" fillId="0" borderId="0" xfId="64" applyFont="1" applyFill="1"/>
    <xf numFmtId="0" fontId="7" fillId="0" borderId="0" xfId="0" quotePrefix="1" applyFont="1"/>
    <xf numFmtId="0" fontId="0" fillId="0" borderId="0" xfId="0" applyFont="1"/>
    <xf numFmtId="0" fontId="0" fillId="0" borderId="1" xfId="0" applyBorder="1"/>
    <xf numFmtId="164" fontId="0" fillId="2" borderId="0" xfId="1" applyFont="1" applyFill="1"/>
    <xf numFmtId="164" fontId="0" fillId="0" borderId="0" xfId="1" applyFont="1"/>
    <xf numFmtId="0" fontId="0" fillId="2" borderId="1" xfId="0" applyFill="1" applyBorder="1"/>
    <xf numFmtId="43" fontId="0" fillId="2" borderId="0" xfId="0" applyNumberFormat="1" applyFill="1"/>
    <xf numFmtId="165" fontId="0" fillId="2" borderId="0" xfId="0" applyNumberFormat="1" applyFill="1"/>
    <xf numFmtId="164" fontId="1" fillId="2" borderId="0" xfId="1" applyFont="1" applyFill="1"/>
    <xf numFmtId="0" fontId="6" fillId="2" borderId="0" xfId="0" applyFont="1" applyFill="1"/>
    <xf numFmtId="0" fontId="6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2" borderId="0" xfId="0" applyFill="1" applyBorder="1"/>
    <xf numFmtId="166" fontId="6" fillId="2" borderId="6" xfId="1" applyNumberFormat="1" applyFont="1" applyFill="1" applyBorder="1"/>
    <xf numFmtId="166" fontId="0" fillId="0" borderId="6" xfId="1" applyNumberFormat="1" applyFont="1" applyBorder="1"/>
    <xf numFmtId="166" fontId="6" fillId="0" borderId="6" xfId="1" applyNumberFormat="1" applyFont="1" applyBorder="1"/>
    <xf numFmtId="0" fontId="6" fillId="0" borderId="7" xfId="0" applyFont="1" applyBorder="1"/>
    <xf numFmtId="0" fontId="0" fillId="0" borderId="8" xfId="0" applyBorder="1"/>
    <xf numFmtId="164" fontId="0" fillId="2" borderId="8" xfId="1" applyFont="1" applyFill="1" applyBorder="1"/>
    <xf numFmtId="166" fontId="0" fillId="2" borderId="9" xfId="1" applyNumberFormat="1" applyFont="1" applyFill="1" applyBorder="1"/>
    <xf numFmtId="0" fontId="0" fillId="0" borderId="2" xfId="0" applyBorder="1"/>
    <xf numFmtId="0" fontId="0" fillId="0" borderId="6" xfId="0" applyBorder="1"/>
    <xf numFmtId="166" fontId="0" fillId="0" borderId="0" xfId="0" applyNumberFormat="1" applyBorder="1"/>
    <xf numFmtId="0" fontId="0" fillId="0" borderId="5" xfId="0" applyFill="1" applyBorder="1"/>
    <xf numFmtId="16" fontId="6" fillId="0" borderId="0" xfId="0" applyNumberFormat="1" applyFont="1"/>
    <xf numFmtId="166" fontId="0" fillId="0" borderId="0" xfId="1" applyNumberFormat="1" applyFont="1" applyBorder="1"/>
    <xf numFmtId="166" fontId="0" fillId="0" borderId="8" xfId="1" applyNumberFormat="1" applyFont="1" applyBorder="1"/>
    <xf numFmtId="165" fontId="0" fillId="0" borderId="0" xfId="0" applyNumberFormat="1" applyBorder="1"/>
  </cellXfs>
  <cellStyles count="123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Dezimal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Standard" xfId="0" builtinId="0"/>
    <cellStyle name="Währung" xfId="64" builtin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101600</xdr:colOff>
      <xdr:row>0</xdr:row>
      <xdr:rowOff>0</xdr:rowOff>
    </xdr:from>
    <xdr:to>
      <xdr:col>14</xdr:col>
      <xdr:colOff>215900</xdr:colOff>
      <xdr:row>22</xdr:row>
      <xdr:rowOff>57457</xdr:rowOff>
    </xdr:to>
    <xdr:pic>
      <xdr:nvPicPr>
        <xdr:cNvPr id="5" name="Bild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1400" y="0"/>
          <a:ext cx="7543800" cy="4248457"/>
        </a:xfrm>
        <a:prstGeom prst="rect">
          <a:avLst/>
        </a:prstGeom>
      </xdr:spPr>
    </xdr:pic>
    <xdr:clientData/>
  </xdr:twoCellAnchor>
  <xdr:twoCellAnchor editAs="oneCell">
    <xdr:from>
      <xdr:col>4</xdr:col>
      <xdr:colOff>622300</xdr:colOff>
      <xdr:row>61</xdr:row>
      <xdr:rowOff>12122</xdr:rowOff>
    </xdr:from>
    <xdr:to>
      <xdr:col>13</xdr:col>
      <xdr:colOff>380999</xdr:colOff>
      <xdr:row>85</xdr:row>
      <xdr:rowOff>177799</xdr:rowOff>
    </xdr:to>
    <xdr:pic>
      <xdr:nvPicPr>
        <xdr:cNvPr id="10" name="Bild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46600" y="11632622"/>
          <a:ext cx="7188199" cy="4737677"/>
        </a:xfrm>
        <a:prstGeom prst="rect">
          <a:avLst/>
        </a:prstGeom>
      </xdr:spPr>
    </xdr:pic>
    <xdr:clientData/>
  </xdr:twoCellAnchor>
  <xdr:twoCellAnchor editAs="oneCell">
    <xdr:from>
      <xdr:col>4</xdr:col>
      <xdr:colOff>609600</xdr:colOff>
      <xdr:row>25</xdr:row>
      <xdr:rowOff>177800</xdr:rowOff>
    </xdr:from>
    <xdr:to>
      <xdr:col>10</xdr:col>
      <xdr:colOff>201612</xdr:colOff>
      <xdr:row>42</xdr:row>
      <xdr:rowOff>12700</xdr:rowOff>
    </xdr:to>
    <xdr:pic>
      <xdr:nvPicPr>
        <xdr:cNvPr id="6" name="Bild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4940300"/>
          <a:ext cx="4545012" cy="307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72"/>
  <sheetViews>
    <sheetView tabSelected="1" workbookViewId="0">
      <selection activeCell="D13" sqref="D13"/>
    </sheetView>
  </sheetViews>
  <sheetFormatPr baseColWidth="10" defaultRowHeight="15" x14ac:dyDescent="0"/>
  <cols>
    <col min="2" max="2" width="15" customWidth="1"/>
    <col min="4" max="4" width="13" bestFit="1" customWidth="1"/>
    <col min="8" max="8" width="12" bestFit="1" customWidth="1"/>
  </cols>
  <sheetData>
    <row r="4" spans="1:4">
      <c r="A4" s="2" t="s">
        <v>0</v>
      </c>
    </row>
    <row r="6" spans="1:4">
      <c r="A6" t="s">
        <v>9</v>
      </c>
      <c r="B6" t="s">
        <v>1</v>
      </c>
      <c r="D6" s="8">
        <v>254400</v>
      </c>
    </row>
    <row r="7" spans="1:4">
      <c r="B7" t="s">
        <v>2</v>
      </c>
      <c r="D7" s="8">
        <v>16000</v>
      </c>
    </row>
    <row r="8" spans="1:4">
      <c r="B8" t="s">
        <v>3</v>
      </c>
      <c r="D8" s="8">
        <f>D6/D7</f>
        <v>15.9</v>
      </c>
    </row>
    <row r="9" spans="1:4">
      <c r="D9" s="8"/>
    </row>
    <row r="10" spans="1:4">
      <c r="B10" t="s">
        <v>4</v>
      </c>
      <c r="D10" s="8">
        <f>D8</f>
        <v>15.9</v>
      </c>
    </row>
    <row r="11" spans="1:4">
      <c r="B11" t="s">
        <v>5</v>
      </c>
      <c r="C11" s="1">
        <v>0.3</v>
      </c>
      <c r="D11" s="8">
        <f>D10*C11</f>
        <v>4.7699999999999996</v>
      </c>
    </row>
    <row r="12" spans="1:4">
      <c r="B12" t="s">
        <v>6</v>
      </c>
      <c r="D12" s="8">
        <f>D10+D11</f>
        <v>20.67</v>
      </c>
    </row>
    <row r="13" spans="1:4">
      <c r="B13" t="s">
        <v>7</v>
      </c>
      <c r="C13" s="1">
        <v>0.2</v>
      </c>
      <c r="D13" s="8">
        <f>D12*C13</f>
        <v>4.1340000000000003</v>
      </c>
    </row>
    <row r="14" spans="1:4">
      <c r="B14" s="7" t="s">
        <v>8</v>
      </c>
      <c r="C14" s="7"/>
      <c r="D14" s="9">
        <f>D12+D13</f>
        <v>24.804000000000002</v>
      </c>
    </row>
    <row r="15" spans="1:4">
      <c r="D15" s="8"/>
    </row>
    <row r="16" spans="1:4">
      <c r="A16" t="s">
        <v>10</v>
      </c>
      <c r="B16" t="s">
        <v>11</v>
      </c>
      <c r="D16" s="8"/>
    </row>
    <row r="17" spans="1:4">
      <c r="B17" t="s">
        <v>12</v>
      </c>
      <c r="D17" s="8">
        <v>1.03</v>
      </c>
    </row>
    <row r="18" spans="1:4">
      <c r="B18" s="4" t="s">
        <v>13</v>
      </c>
      <c r="C18" s="1">
        <v>5</v>
      </c>
      <c r="D18" s="8">
        <f>D17*C18</f>
        <v>5.15</v>
      </c>
    </row>
    <row r="19" spans="1:4">
      <c r="B19" t="s">
        <v>6</v>
      </c>
      <c r="D19" s="8">
        <f>D17+D18</f>
        <v>6.1800000000000006</v>
      </c>
    </row>
    <row r="20" spans="1:4">
      <c r="B20" t="s">
        <v>7</v>
      </c>
      <c r="C20" s="1">
        <v>0.1</v>
      </c>
      <c r="D20" s="8">
        <f>D19*C20</f>
        <v>0.6180000000000001</v>
      </c>
    </row>
    <row r="21" spans="1:4">
      <c r="B21" s="7" t="s">
        <v>8</v>
      </c>
      <c r="C21" s="7"/>
      <c r="D21" s="9">
        <f>D19+D20</f>
        <v>6.7980000000000009</v>
      </c>
    </row>
    <row r="22" spans="1:4">
      <c r="D22" s="8"/>
    </row>
    <row r="23" spans="1:4">
      <c r="A23" t="s">
        <v>14</v>
      </c>
      <c r="B23" t="s">
        <v>15</v>
      </c>
      <c r="D23" s="8"/>
    </row>
    <row r="24" spans="1:4">
      <c r="B24" t="s">
        <v>12</v>
      </c>
      <c r="D24" s="8">
        <v>8.9499999999999993</v>
      </c>
    </row>
    <row r="25" spans="1:4">
      <c r="B25" s="4" t="s">
        <v>13</v>
      </c>
      <c r="C25" s="1">
        <v>0.85</v>
      </c>
      <c r="D25" s="8">
        <f>D24*C25</f>
        <v>7.607499999999999</v>
      </c>
    </row>
    <row r="26" spans="1:4">
      <c r="B26" t="s">
        <v>6</v>
      </c>
      <c r="D26" s="8">
        <f>D24+D25</f>
        <v>16.557499999999997</v>
      </c>
    </row>
    <row r="27" spans="1:4">
      <c r="B27" t="s">
        <v>7</v>
      </c>
      <c r="C27" s="1">
        <v>0.2</v>
      </c>
      <c r="D27" s="8">
        <f>D26*C27</f>
        <v>3.3114999999999997</v>
      </c>
    </row>
    <row r="28" spans="1:4">
      <c r="B28" s="7" t="s">
        <v>8</v>
      </c>
      <c r="C28" s="7"/>
      <c r="D28" s="9">
        <f>D26+D27</f>
        <v>19.868999999999996</v>
      </c>
    </row>
    <row r="29" spans="1:4">
      <c r="D29" s="8"/>
    </row>
    <row r="30" spans="1:4">
      <c r="A30" t="s">
        <v>16</v>
      </c>
      <c r="B30" t="s">
        <v>17</v>
      </c>
      <c r="D30" s="8"/>
    </row>
    <row r="31" spans="1:4">
      <c r="B31" t="s">
        <v>12</v>
      </c>
      <c r="D31" s="8">
        <v>930</v>
      </c>
    </row>
    <row r="32" spans="1:4">
      <c r="B32" s="4" t="s">
        <v>13</v>
      </c>
      <c r="C32" s="1">
        <v>0.7</v>
      </c>
      <c r="D32" s="8">
        <f>D31*C32</f>
        <v>651</v>
      </c>
    </row>
    <row r="33" spans="1:9">
      <c r="B33" t="s">
        <v>6</v>
      </c>
      <c r="D33" s="8">
        <f>D31+D32</f>
        <v>1581</v>
      </c>
    </row>
    <row r="34" spans="1:9">
      <c r="B34" t="s">
        <v>7</v>
      </c>
      <c r="C34" s="1">
        <v>0.2</v>
      </c>
      <c r="D34" s="8">
        <f>D33*C34</f>
        <v>316.20000000000005</v>
      </c>
    </row>
    <row r="35" spans="1:9">
      <c r="B35" s="7" t="s">
        <v>8</v>
      </c>
      <c r="C35" s="7"/>
      <c r="D35" s="9">
        <f>D33+D34</f>
        <v>1897.2</v>
      </c>
    </row>
    <row r="37" spans="1:9">
      <c r="A37" s="2" t="s">
        <v>18</v>
      </c>
    </row>
    <row r="38" spans="1:9">
      <c r="B38" t="s">
        <v>19</v>
      </c>
    </row>
    <row r="39" spans="1:9">
      <c r="B39" t="s">
        <v>12</v>
      </c>
      <c r="D39" s="8">
        <v>53.1</v>
      </c>
      <c r="F39" s="7" t="s">
        <v>12</v>
      </c>
      <c r="G39" s="7"/>
      <c r="H39" s="9">
        <f>H41/(G40+100%)*100%</f>
        <v>53.099999999999994</v>
      </c>
      <c r="I39" s="13" t="s">
        <v>23</v>
      </c>
    </row>
    <row r="40" spans="1:9">
      <c r="B40" s="5" t="s">
        <v>13</v>
      </c>
      <c r="C40" s="6">
        <f>D40/D39</f>
        <v>1.1814187068424358</v>
      </c>
      <c r="D40" s="9">
        <f>D41-D39</f>
        <v>62.733333333333341</v>
      </c>
      <c r="F40" s="10" t="s">
        <v>13</v>
      </c>
      <c r="G40" s="11">
        <f>C40</f>
        <v>1.1814187068424358</v>
      </c>
      <c r="H40" s="12">
        <f>H39*G40</f>
        <v>62.733333333333334</v>
      </c>
    </row>
    <row r="41" spans="1:9">
      <c r="B41" t="s">
        <v>6</v>
      </c>
      <c r="D41" s="8">
        <f>D43/(1+C42)*1</f>
        <v>115.83333333333334</v>
      </c>
      <c r="F41" t="s">
        <v>6</v>
      </c>
      <c r="H41" s="8">
        <f>H43/(1+G42)*1</f>
        <v>115.83333333333334</v>
      </c>
    </row>
    <row r="42" spans="1:9">
      <c r="B42" t="s">
        <v>7</v>
      </c>
      <c r="C42" s="1">
        <v>0.2</v>
      </c>
      <c r="D42" s="8">
        <f>D43/(1+C42)*C42</f>
        <v>23.166666666666671</v>
      </c>
      <c r="F42" t="s">
        <v>7</v>
      </c>
      <c r="G42" s="1">
        <f>C42</f>
        <v>0.2</v>
      </c>
      <c r="H42" s="8">
        <f>H43/(1+G42)*G42</f>
        <v>23.166666666666671</v>
      </c>
    </row>
    <row r="43" spans="1:9">
      <c r="B43" t="s">
        <v>8</v>
      </c>
      <c r="D43" s="8">
        <v>139</v>
      </c>
      <c r="F43" t="s">
        <v>8</v>
      </c>
      <c r="H43" s="8">
        <f>D43</f>
        <v>139</v>
      </c>
    </row>
    <row r="45" spans="1:9">
      <c r="B45" t="s">
        <v>20</v>
      </c>
    </row>
    <row r="46" spans="1:9">
      <c r="B46" t="s">
        <v>12</v>
      </c>
      <c r="D46" s="8">
        <f>25+55</f>
        <v>80</v>
      </c>
      <c r="F46" s="7" t="s">
        <v>12</v>
      </c>
      <c r="G46" s="7"/>
      <c r="H46" s="9">
        <f>H48/(G47+100%)*100%</f>
        <v>80</v>
      </c>
      <c r="I46" s="13" t="s">
        <v>24</v>
      </c>
    </row>
    <row r="47" spans="1:9">
      <c r="B47" s="5" t="s">
        <v>13</v>
      </c>
      <c r="C47" s="6">
        <f>D47/D46</f>
        <v>0.71875</v>
      </c>
      <c r="D47" s="9">
        <f>D48-D46</f>
        <v>57.5</v>
      </c>
      <c r="F47" s="10" t="s">
        <v>13</v>
      </c>
      <c r="G47" s="11">
        <f>C47</f>
        <v>0.71875</v>
      </c>
      <c r="H47" s="12">
        <f>H46*G47</f>
        <v>57.5</v>
      </c>
    </row>
    <row r="48" spans="1:9">
      <c r="B48" t="s">
        <v>6</v>
      </c>
      <c r="D48" s="8">
        <f>D50/(1+C49)*1</f>
        <v>137.5</v>
      </c>
      <c r="F48" t="s">
        <v>6</v>
      </c>
      <c r="H48" s="8">
        <f>H50/(1+G49)*1</f>
        <v>137.5</v>
      </c>
    </row>
    <row r="49" spans="2:9">
      <c r="B49" t="s">
        <v>7</v>
      </c>
      <c r="C49" s="1">
        <v>0.2</v>
      </c>
      <c r="D49" s="8">
        <f>D50/(1+C49)*C49</f>
        <v>27.5</v>
      </c>
      <c r="F49" t="s">
        <v>7</v>
      </c>
      <c r="G49" s="1">
        <f>C49</f>
        <v>0.2</v>
      </c>
      <c r="H49" s="8">
        <f>H50/(1+G49)*G49</f>
        <v>27.5</v>
      </c>
    </row>
    <row r="50" spans="2:9">
      <c r="B50" t="s">
        <v>8</v>
      </c>
      <c r="D50" s="8">
        <v>165</v>
      </c>
      <c r="F50" t="s">
        <v>8</v>
      </c>
      <c r="H50" s="8">
        <f>D50</f>
        <v>165</v>
      </c>
    </row>
    <row r="52" spans="2:9">
      <c r="B52" t="s">
        <v>21</v>
      </c>
    </row>
    <row r="53" spans="2:9">
      <c r="B53" t="s">
        <v>12</v>
      </c>
      <c r="D53" s="8">
        <v>14040</v>
      </c>
      <c r="F53" s="7" t="s">
        <v>12</v>
      </c>
      <c r="G53" s="7"/>
      <c r="H53" s="9">
        <f>H55/(G54+100%)*100%</f>
        <v>14040</v>
      </c>
      <c r="I53" s="13" t="s">
        <v>25</v>
      </c>
    </row>
    <row r="54" spans="2:9">
      <c r="B54" s="5" t="s">
        <v>13</v>
      </c>
      <c r="C54" s="6">
        <f>D54/D53</f>
        <v>0.23753561253561253</v>
      </c>
      <c r="D54" s="9">
        <f>D55-D53</f>
        <v>3335</v>
      </c>
      <c r="F54" s="10" t="s">
        <v>13</v>
      </c>
      <c r="G54" s="11">
        <f>C54</f>
        <v>0.23753561253561253</v>
      </c>
      <c r="H54" s="12">
        <f>H53*G54</f>
        <v>3335</v>
      </c>
    </row>
    <row r="55" spans="2:9">
      <c r="B55" t="s">
        <v>6</v>
      </c>
      <c r="D55" s="8">
        <f>D57/(1+C56)*1</f>
        <v>17375</v>
      </c>
      <c r="F55" t="s">
        <v>6</v>
      </c>
      <c r="H55" s="8">
        <f>H57/(1+G56)*1</f>
        <v>17375</v>
      </c>
    </row>
    <row r="56" spans="2:9">
      <c r="B56" t="s">
        <v>7</v>
      </c>
      <c r="C56" s="1">
        <v>0.2</v>
      </c>
      <c r="D56" s="8">
        <f>D57/(1+C56)*C56</f>
        <v>3475</v>
      </c>
      <c r="F56" t="s">
        <v>7</v>
      </c>
      <c r="G56" s="1">
        <f>C56</f>
        <v>0.2</v>
      </c>
      <c r="H56" s="8">
        <f>H57/(1+G56)*G56</f>
        <v>3475</v>
      </c>
    </row>
    <row r="57" spans="2:9">
      <c r="B57" t="s">
        <v>8</v>
      </c>
      <c r="D57" s="8">
        <v>20850</v>
      </c>
      <c r="F57" t="s">
        <v>8</v>
      </c>
      <c r="H57" s="8">
        <f>D57</f>
        <v>20850</v>
      </c>
    </row>
    <row r="59" spans="2:9">
      <c r="B59" t="s">
        <v>22</v>
      </c>
    </row>
    <row r="60" spans="2:9">
      <c r="B60" s="7" t="s">
        <v>12</v>
      </c>
      <c r="C60" s="7"/>
      <c r="D60" s="9">
        <f>D62/(C61+100%)*100%</f>
        <v>0.49242424242424243</v>
      </c>
      <c r="E60" s="13" t="s">
        <v>26</v>
      </c>
    </row>
    <row r="61" spans="2:9">
      <c r="B61" s="10" t="s">
        <v>13</v>
      </c>
      <c r="C61" s="11">
        <v>3.4</v>
      </c>
      <c r="D61" s="12">
        <f>D60*C61</f>
        <v>1.6742424242424243</v>
      </c>
    </row>
    <row r="62" spans="2:9">
      <c r="B62" t="s">
        <v>6</v>
      </c>
      <c r="D62" s="8">
        <f>D64/(1+C63)*1</f>
        <v>2.166666666666667</v>
      </c>
    </row>
    <row r="63" spans="2:9">
      <c r="B63" t="s">
        <v>7</v>
      </c>
      <c r="C63" s="1">
        <v>0.2</v>
      </c>
      <c r="D63" s="8">
        <f>D64/(1+C63)*C63</f>
        <v>0.4333333333333334</v>
      </c>
    </row>
    <row r="64" spans="2:9">
      <c r="B64" t="s">
        <v>8</v>
      </c>
      <c r="D64" s="8">
        <v>2.6</v>
      </c>
    </row>
    <row r="67" spans="1:2">
      <c r="A67" s="2" t="s">
        <v>27</v>
      </c>
    </row>
    <row r="68" spans="1:2">
      <c r="B68" t="s">
        <v>28</v>
      </c>
    </row>
    <row r="69" spans="1:2">
      <c r="B69" t="s">
        <v>29</v>
      </c>
    </row>
    <row r="70" spans="1:2">
      <c r="B70" t="s">
        <v>31</v>
      </c>
    </row>
    <row r="71" spans="1:2">
      <c r="B71" t="s">
        <v>32</v>
      </c>
    </row>
    <row r="72" spans="1:2">
      <c r="B72" t="s">
        <v>30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zoomScale="150" zoomScaleNormal="150" zoomScalePageLayoutView="150" workbookViewId="0">
      <selection activeCell="B95" sqref="B95"/>
    </sheetView>
  </sheetViews>
  <sheetFormatPr baseColWidth="10" defaultRowHeight="15" x14ac:dyDescent="0"/>
  <cols>
    <col min="1" max="1" width="19" customWidth="1"/>
  </cols>
  <sheetData>
    <row r="1" spans="1:4">
      <c r="A1" s="2" t="s">
        <v>90</v>
      </c>
    </row>
    <row r="2" spans="1:4">
      <c r="A2" t="s">
        <v>40</v>
      </c>
    </row>
    <row r="3" spans="1:4">
      <c r="A3" s="15" t="s">
        <v>34</v>
      </c>
      <c r="B3" s="15" t="s">
        <v>33</v>
      </c>
      <c r="C3" s="18" t="s">
        <v>47</v>
      </c>
      <c r="D3" s="18" t="s">
        <v>48</v>
      </c>
    </row>
    <row r="4" spans="1:4">
      <c r="A4" s="15" t="s">
        <v>49</v>
      </c>
      <c r="B4" s="15">
        <v>12000</v>
      </c>
      <c r="C4" s="15"/>
      <c r="D4" s="15">
        <f>B4</f>
        <v>12000</v>
      </c>
    </row>
    <row r="5" spans="1:4">
      <c r="A5" s="15" t="s">
        <v>50</v>
      </c>
      <c r="B5" s="15">
        <v>1500</v>
      </c>
      <c r="C5" s="15"/>
      <c r="D5" s="15">
        <f>B5</f>
        <v>1500</v>
      </c>
    </row>
    <row r="6" spans="1:4">
      <c r="A6" s="15" t="s">
        <v>35</v>
      </c>
      <c r="B6" s="15">
        <v>24500</v>
      </c>
      <c r="C6" s="15">
        <f>B6*0.6</f>
        <v>14700</v>
      </c>
      <c r="D6" s="15">
        <f>B6*0.4</f>
        <v>9800</v>
      </c>
    </row>
    <row r="7" spans="1:4">
      <c r="A7" s="15" t="s">
        <v>51</v>
      </c>
      <c r="B7" s="15">
        <v>1000</v>
      </c>
      <c r="C7" s="15"/>
      <c r="D7" s="15">
        <f>B7</f>
        <v>1000</v>
      </c>
    </row>
    <row r="8" spans="1:4">
      <c r="A8" s="15" t="s">
        <v>52</v>
      </c>
      <c r="B8" s="15">
        <v>21000</v>
      </c>
      <c r="C8" s="15">
        <f>B8-D8</f>
        <v>20200</v>
      </c>
      <c r="D8" s="15">
        <v>800</v>
      </c>
    </row>
    <row r="9" spans="1:4">
      <c r="A9" s="15"/>
      <c r="B9" s="15">
        <f>SUM(B4:B8)</f>
        <v>60000</v>
      </c>
      <c r="C9" s="18">
        <f>SUM(C4:C8)</f>
        <v>34900</v>
      </c>
      <c r="D9" s="18">
        <f>SUM(D4:D8)</f>
        <v>25100</v>
      </c>
    </row>
    <row r="11" spans="1:4">
      <c r="A11" t="s">
        <v>41</v>
      </c>
    </row>
    <row r="12" spans="1:4">
      <c r="A12" t="s">
        <v>53</v>
      </c>
      <c r="B12">
        <f>D9</f>
        <v>25100</v>
      </c>
    </row>
    <row r="13" spans="1:4">
      <c r="A13" t="s">
        <v>54</v>
      </c>
      <c r="B13">
        <v>12000</v>
      </c>
    </row>
    <row r="14" spans="1:4">
      <c r="A14" t="s">
        <v>55</v>
      </c>
      <c r="B14" s="16">
        <f>ROUND(B12/B13,2)</f>
        <v>2.09</v>
      </c>
    </row>
    <row r="16" spans="1:4">
      <c r="A16" t="s">
        <v>42</v>
      </c>
    </row>
    <row r="17" spans="1:6">
      <c r="A17" t="s">
        <v>56</v>
      </c>
    </row>
    <row r="18" spans="1:6">
      <c r="A18" t="s">
        <v>37</v>
      </c>
      <c r="B18">
        <v>3.5</v>
      </c>
    </row>
    <row r="19" spans="1:6">
      <c r="A19" t="s">
        <v>43</v>
      </c>
      <c r="B19" s="17">
        <f>B18/11</f>
        <v>0.31818181818181818</v>
      </c>
    </row>
    <row r="20" spans="1:6">
      <c r="A20" t="s">
        <v>38</v>
      </c>
      <c r="B20" s="17">
        <f>B18/1.1</f>
        <v>3.1818181818181817</v>
      </c>
    </row>
    <row r="21" spans="1:6">
      <c r="A21" s="4" t="s">
        <v>57</v>
      </c>
      <c r="B21" s="3">
        <f>B14*-1</f>
        <v>-2.09</v>
      </c>
    </row>
    <row r="22" spans="1:6">
      <c r="A22" t="s">
        <v>58</v>
      </c>
      <c r="B22" s="19">
        <f>B20+B21</f>
        <v>1.0918181818181818</v>
      </c>
      <c r="C22">
        <v>300</v>
      </c>
      <c r="D22" s="19">
        <f>ROUND(B22*C22,0)</f>
        <v>328</v>
      </c>
    </row>
    <row r="24" spans="1:6">
      <c r="A24" t="s">
        <v>44</v>
      </c>
    </row>
    <row r="25" spans="1:6">
      <c r="A25" t="s">
        <v>59</v>
      </c>
      <c r="F25" t="s">
        <v>73</v>
      </c>
    </row>
    <row r="27" spans="1:6">
      <c r="A27" t="s">
        <v>45</v>
      </c>
    </row>
    <row r="28" spans="1:6">
      <c r="A28" t="s">
        <v>60</v>
      </c>
    </row>
    <row r="29" spans="1:6">
      <c r="A29" t="s">
        <v>61</v>
      </c>
      <c r="B29" s="7">
        <f>C9</f>
        <v>34900</v>
      </c>
    </row>
    <row r="31" spans="1:6">
      <c r="A31" t="s">
        <v>62</v>
      </c>
    </row>
    <row r="32" spans="1:6">
      <c r="A32" t="s">
        <v>37</v>
      </c>
      <c r="B32">
        <v>5.5</v>
      </c>
    </row>
    <row r="33" spans="1:3">
      <c r="A33" t="s">
        <v>43</v>
      </c>
      <c r="B33" s="17">
        <f>B32/11</f>
        <v>0.5</v>
      </c>
    </row>
    <row r="34" spans="1:3">
      <c r="A34" t="s">
        <v>38</v>
      </c>
      <c r="B34" s="16">
        <f>B32/1.1</f>
        <v>5</v>
      </c>
    </row>
    <row r="35" spans="1:3">
      <c r="A35" s="4" t="s">
        <v>57</v>
      </c>
      <c r="B35" s="3">
        <f>B14*-1</f>
        <v>-2.09</v>
      </c>
    </row>
    <row r="36" spans="1:3">
      <c r="A36" t="s">
        <v>58</v>
      </c>
      <c r="B36" s="19">
        <f>B34+B35</f>
        <v>2.91</v>
      </c>
    </row>
    <row r="38" spans="1:3">
      <c r="A38" t="s">
        <v>65</v>
      </c>
      <c r="B38" s="3">
        <f>B29/B36</f>
        <v>11993.127147766323</v>
      </c>
    </row>
    <row r="39" spans="1:3">
      <c r="A39" t="s">
        <v>63</v>
      </c>
      <c r="B39" s="20">
        <f>ROUNDUP(B38,0)</f>
        <v>11994</v>
      </c>
      <c r="C39" t="s">
        <v>67</v>
      </c>
    </row>
    <row r="41" spans="1:3">
      <c r="A41" t="s">
        <v>46</v>
      </c>
    </row>
    <row r="42" spans="1:3">
      <c r="A42" s="14" t="s">
        <v>64</v>
      </c>
      <c r="B42" s="21">
        <f>B39*B34</f>
        <v>59970</v>
      </c>
      <c r="C42" t="s">
        <v>128</v>
      </c>
    </row>
    <row r="44" spans="1:3">
      <c r="A44" t="s">
        <v>74</v>
      </c>
    </row>
    <row r="45" spans="1:3">
      <c r="A45" t="s">
        <v>84</v>
      </c>
      <c r="B45">
        <v>15000</v>
      </c>
    </row>
    <row r="46" spans="1:3">
      <c r="A46" t="s">
        <v>75</v>
      </c>
      <c r="B46">
        <v>10</v>
      </c>
    </row>
    <row r="47" spans="1:3">
      <c r="A47" t="s">
        <v>85</v>
      </c>
      <c r="B47">
        <f>B45/B46</f>
        <v>1500</v>
      </c>
    </row>
    <row r="49" spans="1:2">
      <c r="A49" t="s">
        <v>77</v>
      </c>
      <c r="B49">
        <v>100</v>
      </c>
    </row>
    <row r="50" spans="1:2">
      <c r="A50" t="s">
        <v>79</v>
      </c>
      <c r="B50" s="3">
        <f>B49*B36</f>
        <v>291</v>
      </c>
    </row>
    <row r="51" spans="1:2">
      <c r="A51" t="s">
        <v>78</v>
      </c>
    </row>
    <row r="52" spans="1:2">
      <c r="A52" t="s">
        <v>80</v>
      </c>
      <c r="B52">
        <v>-150</v>
      </c>
    </row>
    <row r="53" spans="1:2">
      <c r="A53" t="s">
        <v>81</v>
      </c>
      <c r="B53">
        <v>-20</v>
      </c>
    </row>
    <row r="54" spans="1:2">
      <c r="B54">
        <f>B52+B53</f>
        <v>-170</v>
      </c>
    </row>
    <row r="55" spans="1:2">
      <c r="A55" t="s">
        <v>82</v>
      </c>
      <c r="B55" s="3">
        <f>B54+B50</f>
        <v>121</v>
      </c>
    </row>
    <row r="57" spans="1:2">
      <c r="A57" t="s">
        <v>83</v>
      </c>
      <c r="B57" s="3">
        <f>B47/B55</f>
        <v>12.396694214876034</v>
      </c>
    </row>
    <row r="58" spans="1:2">
      <c r="A58" t="s">
        <v>63</v>
      </c>
      <c r="B58" s="19">
        <f>ROUNDUP(B57,0)</f>
        <v>13</v>
      </c>
    </row>
    <row r="61" spans="1:2">
      <c r="A61" s="2" t="s">
        <v>91</v>
      </c>
    </row>
    <row r="62" spans="1:2">
      <c r="A62" t="s">
        <v>9</v>
      </c>
    </row>
    <row r="63" spans="1:2">
      <c r="A63" t="s">
        <v>39</v>
      </c>
    </row>
    <row r="64" spans="1:2">
      <c r="A64" t="s">
        <v>66</v>
      </c>
      <c r="B64">
        <v>0.65</v>
      </c>
    </row>
    <row r="65" spans="1:2">
      <c r="A65" s="4" t="s">
        <v>57</v>
      </c>
      <c r="B65">
        <v>-0.47</v>
      </c>
    </row>
    <row r="66" spans="1:2">
      <c r="A66" s="2" t="s">
        <v>39</v>
      </c>
      <c r="B66" s="22">
        <f>B64+B65</f>
        <v>0.18000000000000005</v>
      </c>
    </row>
    <row r="68" spans="1:2">
      <c r="A68" t="s">
        <v>67</v>
      </c>
      <c r="B68">
        <v>5000</v>
      </c>
    </row>
    <row r="70" spans="1:2">
      <c r="A70" t="s">
        <v>68</v>
      </c>
      <c r="B70" s="7">
        <f>B68*B66</f>
        <v>900.00000000000023</v>
      </c>
    </row>
    <row r="72" spans="1:2">
      <c r="A72" t="s">
        <v>69</v>
      </c>
    </row>
    <row r="74" spans="1:2">
      <c r="A74" t="s">
        <v>14</v>
      </c>
    </row>
    <row r="75" spans="1:2">
      <c r="A75" t="s">
        <v>68</v>
      </c>
      <c r="B75">
        <f>B70</f>
        <v>900.00000000000023</v>
      </c>
    </row>
    <row r="76" spans="1:2">
      <c r="A76" t="s">
        <v>70</v>
      </c>
      <c r="B76">
        <v>-1500</v>
      </c>
    </row>
    <row r="77" spans="1:2">
      <c r="A77" t="s">
        <v>71</v>
      </c>
      <c r="B77" s="7">
        <f>B75+B76</f>
        <v>-599.99999999999977</v>
      </c>
    </row>
    <row r="79" spans="1:2">
      <c r="A79" t="s">
        <v>72</v>
      </c>
    </row>
    <row r="81" spans="1:4">
      <c r="A81" t="s">
        <v>86</v>
      </c>
    </row>
    <row r="82" spans="1:4">
      <c r="A82" t="s">
        <v>84</v>
      </c>
      <c r="B82">
        <v>30000</v>
      </c>
      <c r="D82" t="s">
        <v>88</v>
      </c>
    </row>
    <row r="83" spans="1:4">
      <c r="A83" t="s">
        <v>75</v>
      </c>
      <c r="B83">
        <v>8</v>
      </c>
      <c r="C83" t="s">
        <v>37</v>
      </c>
      <c r="D83">
        <v>1.21</v>
      </c>
    </row>
    <row r="84" spans="1:4">
      <c r="A84" t="s">
        <v>85</v>
      </c>
      <c r="B84">
        <f>B82/B83</f>
        <v>3750</v>
      </c>
      <c r="C84" t="s">
        <v>43</v>
      </c>
      <c r="D84">
        <f>D83-D85</f>
        <v>0.1100000000000001</v>
      </c>
    </row>
    <row r="85" spans="1:4">
      <c r="C85" t="s">
        <v>66</v>
      </c>
      <c r="D85">
        <f>D83/1.1</f>
        <v>1.0999999999999999</v>
      </c>
    </row>
    <row r="86" spans="1:4">
      <c r="A86" t="s">
        <v>77</v>
      </c>
      <c r="B86">
        <v>1000</v>
      </c>
      <c r="C86" s="4" t="s">
        <v>57</v>
      </c>
      <c r="D86">
        <v>-0.47</v>
      </c>
    </row>
    <row r="87" spans="1:4">
      <c r="A87" t="s">
        <v>87</v>
      </c>
      <c r="B87" s="3">
        <f>B86*D87</f>
        <v>629.99999999999989</v>
      </c>
      <c r="C87" s="2" t="s">
        <v>39</v>
      </c>
      <c r="D87" s="22">
        <f>D85+D86</f>
        <v>0.62999999999999989</v>
      </c>
    </row>
    <row r="88" spans="1:4">
      <c r="A88" t="s">
        <v>78</v>
      </c>
      <c r="C88" s="2"/>
    </row>
    <row r="89" spans="1:4">
      <c r="A89" t="s">
        <v>89</v>
      </c>
      <c r="B89">
        <v>-200</v>
      </c>
    </row>
    <row r="90" spans="1:4">
      <c r="B90">
        <v>0</v>
      </c>
    </row>
    <row r="91" spans="1:4">
      <c r="B91">
        <f>B89+B90</f>
        <v>-200</v>
      </c>
    </row>
    <row r="92" spans="1:4">
      <c r="A92" t="s">
        <v>82</v>
      </c>
      <c r="B92" s="3">
        <f>B91+B87</f>
        <v>429.99999999999989</v>
      </c>
    </row>
    <row r="94" spans="1:4">
      <c r="A94" t="s">
        <v>83</v>
      </c>
      <c r="B94" s="3">
        <f>B84/B92</f>
        <v>8.7209302325581426</v>
      </c>
    </row>
    <row r="95" spans="1:4">
      <c r="A95" t="s">
        <v>63</v>
      </c>
      <c r="B95" s="19">
        <f>ROUNDUP(B94,0)</f>
        <v>9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J24" sqref="J24"/>
    </sheetView>
  </sheetViews>
  <sheetFormatPr baseColWidth="10" defaultRowHeight="15" x14ac:dyDescent="0"/>
  <cols>
    <col min="2" max="2" width="14.1640625" customWidth="1"/>
    <col min="4" max="4" width="14" customWidth="1"/>
    <col min="5" max="5" width="11.5" bestFit="1" customWidth="1"/>
    <col min="6" max="6" width="14.1640625" customWidth="1"/>
  </cols>
  <sheetData>
    <row r="1" spans="1:6">
      <c r="A1" s="2" t="s">
        <v>121</v>
      </c>
    </row>
    <row r="2" spans="1:6">
      <c r="A2" s="2"/>
    </row>
    <row r="3" spans="1:6">
      <c r="A3" s="2" t="s">
        <v>123</v>
      </c>
    </row>
    <row r="4" spans="1:6">
      <c r="A4" s="2" t="s">
        <v>117</v>
      </c>
    </row>
    <row r="5" spans="1:6">
      <c r="A5" s="23" t="s">
        <v>94</v>
      </c>
      <c r="B5" s="24" t="s">
        <v>120</v>
      </c>
      <c r="C5" s="24" t="s">
        <v>114</v>
      </c>
      <c r="D5" s="24" t="s">
        <v>116</v>
      </c>
      <c r="E5" s="24" t="s">
        <v>115</v>
      </c>
      <c r="F5" s="25" t="s">
        <v>53</v>
      </c>
    </row>
    <row r="6" spans="1:6">
      <c r="A6" s="26" t="s">
        <v>53</v>
      </c>
      <c r="B6" s="27">
        <v>225000</v>
      </c>
      <c r="C6" s="27">
        <v>1000</v>
      </c>
      <c r="D6" s="28">
        <f>B6/C6</f>
        <v>225</v>
      </c>
      <c r="E6" s="41">
        <v>750000</v>
      </c>
      <c r="F6" s="29">
        <f>D6*E6</f>
        <v>168750000</v>
      </c>
    </row>
    <row r="7" spans="1:6">
      <c r="A7" s="26"/>
      <c r="B7" s="27"/>
      <c r="C7" s="27"/>
      <c r="D7" s="27"/>
      <c r="E7" s="27"/>
      <c r="F7" s="30"/>
    </row>
    <row r="8" spans="1:6">
      <c r="A8" s="26" t="s">
        <v>125</v>
      </c>
      <c r="B8" s="41">
        <v>200000000</v>
      </c>
      <c r="C8" s="27">
        <v>10</v>
      </c>
      <c r="D8" s="41">
        <f>B8/C8</f>
        <v>20000000</v>
      </c>
      <c r="E8" s="27"/>
    </row>
    <row r="9" spans="1:6">
      <c r="A9" s="26" t="s">
        <v>126</v>
      </c>
      <c r="B9" s="27"/>
      <c r="C9" s="27"/>
      <c r="D9" s="41">
        <v>5000000</v>
      </c>
      <c r="E9" s="27"/>
      <c r="F9" s="30">
        <f>D8+D9</f>
        <v>25000000</v>
      </c>
    </row>
    <row r="10" spans="1:6">
      <c r="A10" s="26" t="s">
        <v>127</v>
      </c>
      <c r="B10" s="27"/>
      <c r="C10" s="27"/>
      <c r="D10" s="27"/>
      <c r="E10" s="27"/>
      <c r="F10" s="31">
        <f>F9</f>
        <v>25000000</v>
      </c>
    </row>
    <row r="11" spans="1:6">
      <c r="A11" s="26"/>
      <c r="B11" s="27"/>
      <c r="C11" s="27"/>
      <c r="D11" s="27"/>
      <c r="E11" s="27"/>
      <c r="F11" s="31"/>
    </row>
    <row r="12" spans="1:6">
      <c r="A12" s="32" t="s">
        <v>112</v>
      </c>
      <c r="B12" s="33"/>
      <c r="C12" s="33"/>
      <c r="D12" s="34">
        <f>F12/E12</f>
        <v>258.33333333333331</v>
      </c>
      <c r="E12" s="42">
        <f>E6</f>
        <v>750000</v>
      </c>
      <c r="F12" s="35">
        <f>F10+F6</f>
        <v>193750000</v>
      </c>
    </row>
    <row r="13" spans="1:6">
      <c r="A13" s="36"/>
      <c r="B13" s="24"/>
      <c r="C13" s="24"/>
      <c r="D13" s="24"/>
      <c r="E13" s="24"/>
      <c r="F13" s="25"/>
    </row>
    <row r="14" spans="1:6">
      <c r="A14" s="32" t="s">
        <v>95</v>
      </c>
      <c r="B14" s="33"/>
      <c r="C14" s="33"/>
      <c r="D14" s="42">
        <v>265</v>
      </c>
      <c r="E14" s="33">
        <v>750000</v>
      </c>
      <c r="F14" s="35">
        <f>D14*E14</f>
        <v>198750000</v>
      </c>
    </row>
    <row r="15" spans="1:6">
      <c r="A15" t="s">
        <v>10</v>
      </c>
    </row>
    <row r="16" spans="1:6">
      <c r="A16" s="36" t="s">
        <v>97</v>
      </c>
      <c r="B16" s="24"/>
      <c r="C16" s="24"/>
      <c r="D16" s="24">
        <f>D14-D6</f>
        <v>40</v>
      </c>
      <c r="E16" s="24"/>
      <c r="F16" s="25" t="s">
        <v>93</v>
      </c>
    </row>
    <row r="17" spans="1:6">
      <c r="A17" s="26"/>
      <c r="B17" s="27"/>
      <c r="C17" s="27"/>
      <c r="D17" s="27"/>
      <c r="E17" s="27"/>
      <c r="F17" s="37"/>
    </row>
    <row r="18" spans="1:6">
      <c r="A18" s="26"/>
      <c r="B18" s="27"/>
      <c r="C18" s="27"/>
      <c r="D18" s="27" t="s">
        <v>78</v>
      </c>
      <c r="E18" s="27" t="s">
        <v>101</v>
      </c>
      <c r="F18" s="37"/>
    </row>
    <row r="19" spans="1:6">
      <c r="A19" s="26" t="s">
        <v>98</v>
      </c>
      <c r="B19" s="27" t="s">
        <v>113</v>
      </c>
      <c r="C19" s="27"/>
      <c r="D19" s="38">
        <f>F10</f>
        <v>25000000</v>
      </c>
      <c r="E19" s="43">
        <f>D16</f>
        <v>40</v>
      </c>
      <c r="F19" s="37">
        <f>D19/E19</f>
        <v>625000</v>
      </c>
    </row>
    <row r="20" spans="1:6">
      <c r="A20" s="32" t="s">
        <v>113</v>
      </c>
      <c r="B20" s="33"/>
      <c r="C20" s="33"/>
      <c r="D20" s="33"/>
      <c r="E20" s="33" t="s">
        <v>63</v>
      </c>
      <c r="F20" s="35">
        <f>ROUNDUP(F19,0)</f>
        <v>625000</v>
      </c>
    </row>
    <row r="21" spans="1:6">
      <c r="A21" s="39" t="s">
        <v>119</v>
      </c>
    </row>
    <row r="22" spans="1:6">
      <c r="A22" t="s">
        <v>103</v>
      </c>
      <c r="D22" t="s">
        <v>108</v>
      </c>
    </row>
    <row r="23" spans="1:6">
      <c r="D23" t="s">
        <v>109</v>
      </c>
    </row>
    <row r="24" spans="1:6">
      <c r="D24" t="s">
        <v>107</v>
      </c>
    </row>
    <row r="26" spans="1:6">
      <c r="A26" t="s">
        <v>104</v>
      </c>
      <c r="D26" t="s">
        <v>105</v>
      </c>
    </row>
    <row r="27" spans="1:6">
      <c r="D27" t="s">
        <v>106</v>
      </c>
    </row>
    <row r="28" spans="1:6">
      <c r="A28" s="40" t="s">
        <v>124</v>
      </c>
    </row>
    <row r="29" spans="1:6">
      <c r="A29" s="2" t="s">
        <v>122</v>
      </c>
    </row>
    <row r="30" spans="1:6">
      <c r="A30" s="23" t="s">
        <v>94</v>
      </c>
      <c r="B30" s="24"/>
      <c r="C30" s="24"/>
      <c r="D30" s="24"/>
      <c r="E30" s="24" t="s">
        <v>100</v>
      </c>
      <c r="F30" s="25" t="s">
        <v>53</v>
      </c>
    </row>
    <row r="31" spans="1:6">
      <c r="A31" s="26" t="s">
        <v>53</v>
      </c>
      <c r="B31" s="27" t="s">
        <v>12</v>
      </c>
      <c r="C31" s="27" t="s">
        <v>96</v>
      </c>
      <c r="D31" s="28">
        <f>8/10</f>
        <v>0.8</v>
      </c>
      <c r="E31" s="41">
        <v>10000</v>
      </c>
      <c r="F31" s="29">
        <f>D31*E31</f>
        <v>8000</v>
      </c>
    </row>
    <row r="32" spans="1:6">
      <c r="A32" s="26"/>
      <c r="B32" s="27"/>
      <c r="C32" s="27"/>
      <c r="D32" s="27"/>
      <c r="E32" s="27"/>
      <c r="F32" s="30"/>
    </row>
    <row r="33" spans="1:6">
      <c r="A33" s="26" t="s">
        <v>61</v>
      </c>
      <c r="B33" s="27" t="s">
        <v>36</v>
      </c>
      <c r="C33" s="27" t="s">
        <v>92</v>
      </c>
      <c r="D33" s="27">
        <v>3000</v>
      </c>
      <c r="E33" s="27">
        <v>14</v>
      </c>
      <c r="F33" s="30">
        <f>D33*E33</f>
        <v>42000</v>
      </c>
    </row>
    <row r="34" spans="1:6">
      <c r="A34" s="26"/>
      <c r="B34" s="27" t="s">
        <v>76</v>
      </c>
      <c r="C34" s="27">
        <v>114000</v>
      </c>
      <c r="D34" s="27">
        <v>20</v>
      </c>
      <c r="E34" s="27">
        <f>C34/D34</f>
        <v>5700</v>
      </c>
      <c r="F34" s="30">
        <f>E34</f>
        <v>5700</v>
      </c>
    </row>
    <row r="35" spans="1:6">
      <c r="A35" s="26"/>
      <c r="B35" s="27" t="s">
        <v>99</v>
      </c>
      <c r="C35" s="27"/>
      <c r="D35" s="27"/>
      <c r="E35" s="27"/>
      <c r="F35" s="30">
        <v>2000</v>
      </c>
    </row>
    <row r="36" spans="1:6">
      <c r="A36" s="26"/>
      <c r="B36" s="27"/>
      <c r="C36" s="27"/>
      <c r="D36" s="27"/>
      <c r="E36" s="27"/>
      <c r="F36" s="31">
        <f>F35+F34+F33</f>
        <v>49700</v>
      </c>
    </row>
    <row r="37" spans="1:6">
      <c r="A37" s="26"/>
      <c r="B37" s="27"/>
      <c r="C37" s="27"/>
      <c r="D37" s="27"/>
      <c r="E37" s="27"/>
      <c r="F37" s="31"/>
    </row>
    <row r="38" spans="1:6">
      <c r="A38" s="32" t="s">
        <v>111</v>
      </c>
      <c r="B38" s="33"/>
      <c r="C38" s="33"/>
      <c r="D38" s="34">
        <f>F38/E38</f>
        <v>5.77</v>
      </c>
      <c r="E38" s="42">
        <v>10000</v>
      </c>
      <c r="F38" s="35">
        <f>F36+F31</f>
        <v>57700</v>
      </c>
    </row>
    <row r="39" spans="1:6">
      <c r="A39" s="36"/>
      <c r="B39" s="24"/>
      <c r="C39" s="24"/>
      <c r="D39" s="24"/>
      <c r="E39" s="24"/>
      <c r="F39" s="25"/>
    </row>
    <row r="40" spans="1:6">
      <c r="A40" s="32" t="s">
        <v>95</v>
      </c>
      <c r="B40" s="33"/>
      <c r="C40" s="33"/>
      <c r="D40" s="33">
        <v>4.0999999999999996</v>
      </c>
      <c r="E40" s="42">
        <f>E31</f>
        <v>10000</v>
      </c>
      <c r="F40" s="35">
        <f>D40*E40</f>
        <v>41000</v>
      </c>
    </row>
    <row r="41" spans="1:6">
      <c r="A41" s="36"/>
      <c r="B41" s="24"/>
      <c r="C41" s="24"/>
      <c r="D41" s="24"/>
      <c r="E41" s="24"/>
      <c r="F41" s="25"/>
    </row>
    <row r="42" spans="1:6">
      <c r="A42" s="26" t="s">
        <v>97</v>
      </c>
      <c r="B42" s="27"/>
      <c r="C42" s="27"/>
      <c r="D42" s="27">
        <f>D40-D31</f>
        <v>3.3</v>
      </c>
      <c r="E42" s="27"/>
      <c r="F42" s="37" t="s">
        <v>93</v>
      </c>
    </row>
    <row r="43" spans="1:6">
      <c r="A43" s="26"/>
      <c r="B43" s="27"/>
      <c r="C43" s="27"/>
      <c r="D43" s="27"/>
      <c r="E43" s="27"/>
      <c r="F43" s="37"/>
    </row>
    <row r="44" spans="1:6">
      <c r="A44" s="26" t="s">
        <v>10</v>
      </c>
      <c r="B44" s="27"/>
      <c r="C44" s="27"/>
      <c r="D44" s="27" t="s">
        <v>78</v>
      </c>
      <c r="E44" s="27" t="s">
        <v>101</v>
      </c>
      <c r="F44" s="37"/>
    </row>
    <row r="45" spans="1:6">
      <c r="A45" s="26" t="s">
        <v>98</v>
      </c>
      <c r="B45" s="27"/>
      <c r="C45" s="27"/>
      <c r="D45" s="27">
        <f>F36</f>
        <v>49700</v>
      </c>
      <c r="E45" s="27">
        <f>D42</f>
        <v>3.3</v>
      </c>
      <c r="F45" s="37">
        <f>D45/E45</f>
        <v>15060.606060606062</v>
      </c>
    </row>
    <row r="46" spans="1:6">
      <c r="A46" s="32" t="s">
        <v>118</v>
      </c>
      <c r="B46" s="33"/>
      <c r="C46" s="33"/>
      <c r="D46" s="33"/>
      <c r="E46" s="33" t="s">
        <v>63</v>
      </c>
      <c r="F46" s="35">
        <f>ROUNDUP(F45,0)</f>
        <v>15061</v>
      </c>
    </row>
    <row r="48" spans="1:6">
      <c r="A48" t="s">
        <v>102</v>
      </c>
    </row>
    <row r="49" spans="1:4">
      <c r="A49" t="s">
        <v>103</v>
      </c>
      <c r="D49" t="s">
        <v>108</v>
      </c>
    </row>
    <row r="50" spans="1:4">
      <c r="D50" t="s">
        <v>109</v>
      </c>
    </row>
    <row r="51" spans="1:4">
      <c r="D51" t="s">
        <v>107</v>
      </c>
    </row>
    <row r="53" spans="1:4">
      <c r="A53" t="s">
        <v>104</v>
      </c>
      <c r="D53" t="s">
        <v>105</v>
      </c>
    </row>
    <row r="54" spans="1:4">
      <c r="D54" t="s">
        <v>106</v>
      </c>
    </row>
    <row r="55" spans="1:4">
      <c r="D55" t="s">
        <v>110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NRA Kalkulationen</vt:lpstr>
      <vt:lpstr>Teilkostenrechnung</vt:lpstr>
      <vt:lpstr>Make or buy</vt:lpstr>
      <vt:lpstr>Blatt3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dcterms:created xsi:type="dcterms:W3CDTF">2012-12-18T09:53:11Z</dcterms:created>
  <dcterms:modified xsi:type="dcterms:W3CDTF">2020-03-02T06:59:09Z</dcterms:modified>
</cp:coreProperties>
</file>